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68AF272-35E3-46DE-88AB-1733EDCD0A9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דוח עסקת פליפ - עם מינוף" sheetId="2" r:id="rId1"/>
    <sheet name="4850 Erin L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C7" i="2"/>
  <c r="C6" i="2"/>
  <c r="C5" i="2"/>
  <c r="F31" i="3"/>
  <c r="F27" i="3"/>
  <c r="C26" i="3"/>
  <c r="C25" i="3"/>
  <c r="B28" i="3" s="1"/>
  <c r="B22" i="3"/>
  <c r="B6" i="3"/>
  <c r="F31" i="2" l="1"/>
  <c r="F26" i="2"/>
  <c r="F27" i="2" s="1"/>
  <c r="C25" i="2"/>
  <c r="C24" i="2"/>
  <c r="B21" i="2"/>
  <c r="B5" i="2"/>
  <c r="B27" i="2" l="1"/>
  <c r="C6" i="3"/>
  <c r="C12" i="3" s="1"/>
  <c r="H6" i="3" s="1"/>
  <c r="C8" i="3"/>
  <c r="C10" i="3"/>
  <c r="H4" i="3"/>
  <c r="C5" i="3"/>
  <c r="J10" i="3"/>
  <c r="J11" i="3" s="1"/>
  <c r="C7" i="3"/>
  <c r="J13" i="3" l="1"/>
  <c r="F32" i="3"/>
  <c r="J15" i="3"/>
  <c r="J16" i="3" s="1"/>
  <c r="H21" i="3" s="1"/>
  <c r="J12" i="3"/>
  <c r="C11" i="2"/>
  <c r="H6" i="2" s="1"/>
  <c r="H2" i="2"/>
  <c r="J10" i="2" s="1"/>
  <c r="H4" i="2"/>
  <c r="J11" i="2" l="1"/>
  <c r="J15" i="2" s="1"/>
  <c r="J16" i="2" s="1"/>
  <c r="H21" i="2" s="1"/>
  <c r="J12" i="2"/>
  <c r="J13" i="2"/>
  <c r="F32" i="2"/>
</calcChain>
</file>

<file path=xl/sharedStrings.xml><?xml version="1.0" encoding="utf-8"?>
<sst xmlns="http://schemas.openxmlformats.org/spreadsheetml/2006/main" count="137" uniqueCount="71">
  <si>
    <t>שלב 1: שווי אחרי שיפוץ</t>
  </si>
  <si>
    <t>שלב 3: הערכת שיפוץ</t>
  </si>
  <si>
    <t xml:space="preserve"> הריסה (DEMOLITION) </t>
  </si>
  <si>
    <t>שלב 2: עלויות קבועות  (FIX COSTS)</t>
  </si>
  <si>
    <t xml:space="preserve">בניה (MASONRY) </t>
  </si>
  <si>
    <t>BUYING COSTS עלויות קנייה (בד"כ 1-2% מסכום הרכישה)</t>
  </si>
  <si>
    <t xml:space="preserve"> כיסוי חיצוני למבנה (SIDING) </t>
  </si>
  <si>
    <t>דמי בעלות ודמי נאמנות (Title and escrow fees)</t>
  </si>
  <si>
    <t>חצר, דק ופטיו (DECKING AND PATIOS)</t>
  </si>
  <si>
    <t>עלות הקמת הלוואה</t>
  </si>
  <si>
    <t>קירוי גג (ROOFING)</t>
  </si>
  <si>
    <t>עלויות סגירה בנק</t>
  </si>
  <si>
    <t xml:space="preserve">דלתות וחלונות חיצוניים (EXT. DOORS &amp; WINDOWS) </t>
  </si>
  <si>
    <t>שכר עו"ד (צד של הקונה) (Attorney charges)</t>
  </si>
  <si>
    <t xml:space="preserve">דלתות חניה (GARAGE DOORS) </t>
  </si>
  <si>
    <t>עלויות ביקורת (Inspection costs)</t>
  </si>
  <si>
    <t xml:space="preserve">גינון (LANDSCAPING) </t>
  </si>
  <si>
    <t xml:space="preserve">העברת בעלות (Recording fees) </t>
  </si>
  <si>
    <t xml:space="preserve">שיפורים חיצוניים נוספים (MISC. EXT IMPROVEMENTS) </t>
  </si>
  <si>
    <t>עלות השמאות (Appraisal fees)</t>
  </si>
  <si>
    <t xml:space="preserve">מסגרות וקירות גבס (FRAMING &amp; DRYWALL) </t>
  </si>
  <si>
    <t>סך עלויות סגירת רכישה</t>
  </si>
  <si>
    <t xml:space="preserve">דלתות (DOORS) </t>
  </si>
  <si>
    <t>חלונות (WINDOWS)</t>
  </si>
  <si>
    <t xml:space="preserve"> מיסי ארנונה לחודש (PROPERTY TAXES) </t>
  </si>
  <si>
    <t xml:space="preserve"> ריצוף ( FLOORING) </t>
  </si>
  <si>
    <t xml:space="preserve"> חשבונות מים/גז/חשמל לחודש (UTILITIES)</t>
  </si>
  <si>
    <t xml:space="preserve">רעפים (TILING) </t>
  </si>
  <si>
    <t xml:space="preserve"> ביטוח לחודש (INSURANCE)</t>
  </si>
  <si>
    <t xml:space="preserve">צביעה (PAINTING) </t>
  </si>
  <si>
    <t xml:space="preserve"> תשלום וועד בית לחודש (HOA DUES)</t>
  </si>
  <si>
    <t xml:space="preserve">מכשירי חשמל (APPLIANCES) </t>
  </si>
  <si>
    <t xml:space="preserve">תחזוקה שותפת לחודש (MAINTENANCE) </t>
  </si>
  <si>
    <t xml:space="preserve">אינסטלציה (PLUMBING) </t>
  </si>
  <si>
    <t>אחר (לחודש)</t>
  </si>
  <si>
    <t xml:space="preserve">חימום ומיזוג אויר (HVAC) </t>
  </si>
  <si>
    <t>זמן שיפוץ בחודשים</t>
  </si>
  <si>
    <t xml:space="preserve">עבודות חשמל (ELECTRICAL) </t>
  </si>
  <si>
    <t>סך עלויות החזקה:</t>
  </si>
  <si>
    <t>שונות (MISCELLANEOUS)</t>
  </si>
  <si>
    <t xml:space="preserve">היתר בנייה (BUILDING PERMIT) </t>
  </si>
  <si>
    <t xml:space="preserve"> (CONTRACTORW'S OVERHEAD &amp; PROFIT) רווח לקבלן</t>
  </si>
  <si>
    <t xml:space="preserve"> מרווח ביטחון (CONTINGENCY) </t>
  </si>
  <si>
    <t>סך הערכת השיפוץ</t>
  </si>
  <si>
    <t>% מה-ARV</t>
  </si>
  <si>
    <t>אחר</t>
  </si>
  <si>
    <t>שלב 4: רווח</t>
  </si>
  <si>
    <t>סך עלויות מכירה:</t>
  </si>
  <si>
    <t>מחיר הרכישה המקסימלי</t>
  </si>
  <si>
    <t>אחוז מחיר הרכישה מתוך שווי הנכס אחרי השיפוץ (רצוי מתחת ל70%)</t>
  </si>
  <si>
    <t>סך עלויות הפרויקט</t>
  </si>
  <si>
    <t xml:space="preserve">שלב 5: מימון </t>
  </si>
  <si>
    <t xml:space="preserve">משך חי הפרויקט </t>
  </si>
  <si>
    <t>בשנים</t>
  </si>
  <si>
    <t>סכום ההלוואה</t>
  </si>
  <si>
    <t>ריבית</t>
  </si>
  <si>
    <r>
      <rPr>
        <sz val="11"/>
        <color rgb="FF000000"/>
        <rFont val="Calibri"/>
      </rPr>
      <t>ארונות ומשטחי עבודה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>(CABINETS &amp; COUNTERTOPS)</t>
    </r>
  </si>
  <si>
    <t>עלות הקמת הלוואה + סגירה</t>
  </si>
  <si>
    <t>הון עצמי</t>
  </si>
  <si>
    <t>ROI</t>
  </si>
  <si>
    <t>עלויות מכירה (בד"כ 6% מסך המכירה)</t>
  </si>
  <si>
    <t>עו"ד - כ- 0.5%</t>
  </si>
  <si>
    <t xml:space="preserve"> עמלת תיווך (BROKERAGE FEE) - 5%-6%</t>
  </si>
  <si>
    <t xml:space="preserve">ROI של 15% רווח </t>
  </si>
  <si>
    <t>רווח בניכוי הוצאות מימון</t>
  </si>
  <si>
    <t>סה"כ רווח כולל עלויות מימון</t>
  </si>
  <si>
    <t>סה"כ עלויות הפרויקט כולל עלויות מימון</t>
  </si>
  <si>
    <t xml:space="preserve"> עלויות החזקה HOLDING COSTS (בד"כ 2% מה-ARV)</t>
  </si>
  <si>
    <t>לשנות רק את הקוביות בצבע הזה</t>
  </si>
  <si>
    <t>POOL</t>
  </si>
  <si>
    <t>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</si>
</sst>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₪&quot;\ * #,##0.00_ ;_ &quot;₪&quot;\ * \-#,##0.00_ ;_ &quot;₪&quot;\ * &quot;-&quot;??_ ;_ @_ "/>
    <numFmt numFmtId="164" formatCode="[$$-409]#,##0"/>
    <numFmt numFmtId="165" formatCode="0.000%"/>
    <numFmt numFmtId="166" formatCode="[$$]#,##0"/>
    <numFmt numFmtId="167" formatCode="[$$-409]#,##0.000"/>
    <numFmt numFmtId="168" formatCode="_-[$$-409]* #,##0.00_ ;_-[$$-409]* \-#,##0.00\ ;_-[$$-409]* &quot;-&quot;??_ ;_-@_ "/>
    <numFmt numFmtId="169" formatCode="_-[$$-409]* #,##0_ ;_-[$$-409]* \-#,##0\ ;_-[$$-409]* &quot;-&quot;??_ ;_-@_ "/>
  </numFmts>
  <fonts count="27">
    <font>
      <sz val="10"/>
      <color rgb="FF000000"/>
      <name val="Arial"/>
      <scheme val="minor"/>
    </font>
    <font>
      <sz val="18"/>
      <color rgb="FFF8F8F8"/>
      <name val="Docs-Calibri"/>
    </font>
    <font>
      <sz val="10"/>
      <color theme="1"/>
      <name val="Arial"/>
      <scheme val="minor"/>
    </font>
    <font>
      <sz val="18"/>
      <color rgb="FFFFFFFF"/>
      <name val="Arial"/>
      <scheme val="minor"/>
    </font>
    <font>
      <sz val="11"/>
      <color rgb="FF000000"/>
      <name val="Calibri"/>
    </font>
    <font>
      <sz val="18"/>
      <color rgb="FFFFFFFF"/>
      <name val="Calibri"/>
    </font>
    <font>
      <b/>
      <sz val="12"/>
      <color rgb="FF000000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FF0000"/>
      <name val="Arial"/>
      <scheme val="minor"/>
    </font>
    <font>
      <b/>
      <sz val="11"/>
      <color theme="1"/>
      <name val="Calibri"/>
    </font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2"/>
      <color rgb="FFFFFFFF"/>
      <name val="Calibri"/>
    </font>
    <font>
      <sz val="10"/>
      <name val="Arial"/>
    </font>
    <font>
      <sz val="18"/>
      <color rgb="FFF8F8F8"/>
      <name val="Calibri"/>
    </font>
    <font>
      <sz val="10"/>
      <color rgb="FF000000"/>
      <name val="Arial"/>
    </font>
    <font>
      <sz val="12"/>
      <color rgb="FF000000"/>
      <name val="Arial"/>
    </font>
    <font>
      <sz val="18"/>
      <color rgb="FFFFFFFF"/>
      <name val="Arial"/>
    </font>
    <font>
      <sz val="14"/>
      <color theme="1"/>
      <name val="Arial"/>
    </font>
    <font>
      <sz val="11"/>
      <color rgb="FFFF0000"/>
      <name val="Calibri"/>
    </font>
    <font>
      <sz val="10"/>
      <color rgb="FF000000"/>
      <name val="Arial"/>
      <family val="2"/>
      <scheme val="minor"/>
    </font>
    <font>
      <b/>
      <sz val="12"/>
      <color rgb="FF000000"/>
      <name val="Calibri"/>
      <family val="2"/>
    </font>
    <font>
      <sz val="14"/>
      <color rgb="FF000000"/>
      <name val="Arial"/>
      <family val="2"/>
    </font>
    <font>
      <sz val="10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03030"/>
        <bgColor rgb="FF303030"/>
      </patternFill>
    </fill>
    <fill>
      <patternFill patternType="solid">
        <fgColor rgb="FFFFF2CC"/>
        <bgColor rgb="FFFFF2CC"/>
      </patternFill>
    </fill>
    <fill>
      <patternFill patternType="solid">
        <fgColor rgb="FFEFD177"/>
        <bgColor rgb="FFEFD177"/>
      </patternFill>
    </fill>
    <fill>
      <patternFill patternType="solid">
        <fgColor rgb="FFFFFFFF"/>
        <bgColor rgb="FFFFFFFF"/>
      </patternFill>
    </fill>
    <fill>
      <patternFill patternType="solid">
        <fgColor rgb="FFD89740"/>
        <bgColor rgb="FFD89740"/>
      </patternFill>
    </fill>
    <fill>
      <patternFill patternType="solid">
        <fgColor theme="0"/>
        <bgColor rgb="FFEFD177"/>
      </patternFill>
    </fill>
    <fill>
      <patternFill patternType="solid">
        <fgColor theme="0"/>
        <bgColor indexed="64"/>
      </patternFill>
    </fill>
    <fill>
      <patternFill patternType="solid">
        <fgColor rgb="FFEFD177"/>
        <bgColor indexed="64"/>
      </patternFill>
    </fill>
    <fill>
      <patternFill patternType="solid">
        <fgColor rgb="FFD8974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EFD177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79646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theme="6" tint="0.39997558519241921"/>
      </bottom>
      <diagonal/>
    </border>
    <border>
      <left/>
      <right style="thin">
        <color rgb="FFFFFFFF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rgb="FFFFFFFF"/>
      </right>
      <top style="thin">
        <color theme="6" tint="0.39997558519241921"/>
      </top>
      <bottom/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EFD177"/>
      </top>
      <bottom style="thin">
        <color theme="6" tint="0.39997558519241921"/>
      </bottom>
      <diagonal/>
    </border>
    <border>
      <left/>
      <right style="thin">
        <color rgb="FFFFFFFF"/>
      </right>
      <top style="thin">
        <color theme="6" tint="0.39997558519241921"/>
      </top>
      <bottom style="thin">
        <color rgb="FFEFD177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EFD177"/>
      </top>
      <bottom style="thin">
        <color rgb="FFEFD177"/>
      </bottom>
      <diagonal/>
    </border>
    <border>
      <left/>
      <right style="thin">
        <color rgb="FFFFFFFF"/>
      </right>
      <top style="thin">
        <color rgb="FFEFD177"/>
      </top>
      <bottom style="thin">
        <color rgb="FFEFD177"/>
      </bottom>
      <diagonal/>
    </border>
    <border>
      <left/>
      <right style="thin">
        <color rgb="FFFFFFFF"/>
      </right>
      <top style="thin">
        <color rgb="FFEFD177"/>
      </top>
      <bottom/>
      <diagonal/>
    </border>
    <border>
      <left style="thin">
        <color rgb="FFEFD177"/>
      </left>
      <right/>
      <top style="thin">
        <color rgb="FFEFD177"/>
      </top>
      <bottom/>
      <diagonal/>
    </border>
    <border>
      <left/>
      <right/>
      <top style="thin">
        <color rgb="FFEFD177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08">
    <xf numFmtId="0" fontId="0" fillId="0" borderId="0" xfId="0"/>
    <xf numFmtId="0" fontId="2" fillId="0" borderId="1" xfId="0" applyFont="1" applyBorder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top"/>
    </xf>
    <xf numFmtId="0" fontId="7" fillId="4" borderId="0" xfId="0" applyFont="1" applyFill="1" applyAlignment="1">
      <alignment horizontal="center"/>
    </xf>
    <xf numFmtId="10" fontId="7" fillId="3" borderId="0" xfId="0" applyNumberFormat="1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0" fontId="7" fillId="4" borderId="0" xfId="0" applyFont="1" applyFill="1"/>
    <xf numFmtId="164" fontId="7" fillId="3" borderId="0" xfId="0" applyNumberFormat="1" applyFont="1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" fillId="0" borderId="2" xfId="0" applyFont="1" applyBorder="1"/>
    <xf numFmtId="0" fontId="2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9" fontId="13" fillId="4" borderId="0" xfId="0" applyNumberFormat="1" applyFont="1" applyFill="1" applyAlignment="1">
      <alignment horizontal="center"/>
    </xf>
    <xf numFmtId="3" fontId="2" fillId="4" borderId="0" xfId="0" applyNumberFormat="1" applyFont="1" applyFill="1"/>
    <xf numFmtId="3" fontId="7" fillId="6" borderId="0" xfId="0" applyNumberFormat="1" applyFont="1" applyFill="1" applyAlignment="1">
      <alignment horizontal="center"/>
    </xf>
    <xf numFmtId="0" fontId="13" fillId="3" borderId="0" xfId="0" applyFont="1" applyFill="1"/>
    <xf numFmtId="0" fontId="18" fillId="3" borderId="0" xfId="0" applyFont="1" applyFill="1" applyAlignment="1">
      <alignment horizontal="center"/>
    </xf>
    <xf numFmtId="0" fontId="2" fillId="0" borderId="11" xfId="0" applyFont="1" applyBorder="1"/>
    <xf numFmtId="0" fontId="7" fillId="3" borderId="0" xfId="0" applyFont="1" applyFill="1" applyAlignment="1">
      <alignment horizontal="center"/>
    </xf>
    <xf numFmtId="0" fontId="19" fillId="3" borderId="0" xfId="0" applyFont="1" applyFill="1" applyAlignment="1">
      <alignment horizontal="right"/>
    </xf>
    <xf numFmtId="9" fontId="7" fillId="3" borderId="0" xfId="0" applyNumberFormat="1" applyFont="1" applyFill="1" applyAlignment="1">
      <alignment horizontal="center"/>
    </xf>
    <xf numFmtId="1" fontId="7" fillId="6" borderId="0" xfId="0" applyNumberFormat="1" applyFont="1" applyFill="1" applyAlignment="1">
      <alignment horizontal="center"/>
    </xf>
    <xf numFmtId="9" fontId="7" fillId="4" borderId="0" xfId="0" applyNumberFormat="1" applyFont="1" applyFill="1" applyAlignment="1">
      <alignment horizontal="center"/>
    </xf>
    <xf numFmtId="0" fontId="7" fillId="0" borderId="12" xfId="0" applyFont="1" applyBorder="1"/>
    <xf numFmtId="0" fontId="7" fillId="0" borderId="8" xfId="0" applyFont="1" applyBorder="1"/>
    <xf numFmtId="10" fontId="13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9" fontId="13" fillId="3" borderId="0" xfId="0" applyNumberFormat="1" applyFont="1" applyFill="1" applyAlignment="1">
      <alignment horizontal="center"/>
    </xf>
    <xf numFmtId="0" fontId="13" fillId="3" borderId="15" xfId="0" applyFont="1" applyFill="1" applyBorder="1"/>
    <xf numFmtId="0" fontId="13" fillId="3" borderId="16" xfId="0" applyFont="1" applyFill="1" applyBorder="1"/>
    <xf numFmtId="0" fontId="19" fillId="3" borderId="16" xfId="0" applyFont="1" applyFill="1" applyBorder="1" applyAlignment="1">
      <alignment horizontal="right"/>
    </xf>
    <xf numFmtId="0" fontId="19" fillId="3" borderId="15" xfId="0" applyFont="1" applyFill="1" applyBorder="1" applyAlignment="1">
      <alignment horizontal="right"/>
    </xf>
    <xf numFmtId="0" fontId="18" fillId="3" borderId="16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3" fontId="18" fillId="3" borderId="15" xfId="0" applyNumberFormat="1" applyFont="1" applyFill="1" applyBorder="1" applyAlignment="1">
      <alignment horizontal="center"/>
    </xf>
    <xf numFmtId="164" fontId="0" fillId="10" borderId="0" xfId="0" applyNumberFormat="1" applyFill="1" applyAlignment="1">
      <alignment horizontal="center"/>
    </xf>
    <xf numFmtId="0" fontId="2" fillId="0" borderId="12" xfId="0" applyFont="1" applyBorder="1"/>
    <xf numFmtId="164" fontId="23" fillId="10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167" fontId="2" fillId="9" borderId="0" xfId="0" applyNumberFormat="1" applyFont="1" applyFill="1"/>
    <xf numFmtId="0" fontId="25" fillId="3" borderId="0" xfId="0" applyFont="1" applyFill="1" applyAlignment="1">
      <alignment horizontal="center"/>
    </xf>
    <xf numFmtId="167" fontId="2" fillId="11" borderId="0" xfId="0" applyNumberFormat="1" applyFont="1" applyFill="1"/>
    <xf numFmtId="0" fontId="2" fillId="0" borderId="20" xfId="0" applyFont="1" applyBorder="1"/>
    <xf numFmtId="0" fontId="2" fillId="0" borderId="23" xfId="0" applyFont="1" applyBorder="1"/>
    <xf numFmtId="169" fontId="26" fillId="12" borderId="0" xfId="0" applyNumberFormat="1" applyFont="1" applyFill="1" applyAlignment="1">
      <alignment horizontal="center" vertical="center"/>
    </xf>
    <xf numFmtId="169" fontId="23" fillId="3" borderId="21" xfId="0" applyNumberFormat="1" applyFont="1" applyFill="1" applyBorder="1" applyAlignment="1">
      <alignment horizontal="center" vertical="center"/>
    </xf>
    <xf numFmtId="169" fontId="23" fillId="3" borderId="0" xfId="0" applyNumberFormat="1" applyFont="1" applyFill="1" applyAlignment="1">
      <alignment horizontal="center" vertical="center"/>
    </xf>
    <xf numFmtId="169" fontId="23" fillId="3" borderId="22" xfId="0" applyNumberFormat="1" applyFont="1" applyFill="1" applyBorder="1" applyAlignment="1">
      <alignment horizontal="center" vertical="center"/>
    </xf>
    <xf numFmtId="169" fontId="23" fillId="3" borderId="25" xfId="0" applyNumberFormat="1" applyFont="1" applyFill="1" applyBorder="1" applyAlignment="1">
      <alignment horizontal="center" vertical="center"/>
    </xf>
    <xf numFmtId="169" fontId="23" fillId="3" borderId="26" xfId="0" applyNumberFormat="1" applyFont="1" applyFill="1" applyBorder="1" applyAlignment="1">
      <alignment horizontal="center" vertical="center"/>
    </xf>
    <xf numFmtId="169" fontId="26" fillId="12" borderId="27" xfId="0" applyNumberFormat="1" applyFont="1" applyFill="1" applyBorder="1" applyAlignment="1">
      <alignment horizontal="center" vertical="center"/>
    </xf>
    <xf numFmtId="169" fontId="26" fillId="12" borderId="24" xfId="0" applyNumberFormat="1" applyFont="1" applyFill="1" applyBorder="1" applyAlignment="1">
      <alignment horizontal="center" vertical="center"/>
    </xf>
    <xf numFmtId="169" fontId="23" fillId="3" borderId="25" xfId="1" applyNumberFormat="1" applyFont="1" applyFill="1" applyBorder="1" applyAlignment="1">
      <alignment horizontal="center" vertical="center"/>
    </xf>
    <xf numFmtId="169" fontId="26" fillId="12" borderId="28" xfId="0" applyNumberFormat="1" applyFont="1" applyFill="1" applyBorder="1" applyAlignment="1">
      <alignment horizontal="center" vertical="center"/>
    </xf>
    <xf numFmtId="169" fontId="23" fillId="3" borderId="16" xfId="0" applyNumberFormat="1" applyFont="1" applyFill="1" applyBorder="1" applyAlignment="1">
      <alignment horizontal="center" vertical="center"/>
    </xf>
    <xf numFmtId="169" fontId="23" fillId="3" borderId="1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0" fillId="0" borderId="0" xfId="0"/>
    <xf numFmtId="0" fontId="20" fillId="2" borderId="0" xfId="0" applyFont="1" applyFill="1" applyAlignment="1">
      <alignment horizontal="center"/>
    </xf>
    <xf numFmtId="0" fontId="16" fillId="0" borderId="7" xfId="0" applyFont="1" applyBorder="1"/>
    <xf numFmtId="10" fontId="21" fillId="6" borderId="13" xfId="0" applyNumberFormat="1" applyFont="1" applyFill="1" applyBorder="1" applyAlignment="1">
      <alignment horizontal="center"/>
    </xf>
    <xf numFmtId="10" fontId="16" fillId="0" borderId="13" xfId="0" applyNumberFormat="1" applyFont="1" applyBorder="1"/>
    <xf numFmtId="10" fontId="16" fillId="0" borderId="9" xfId="0" applyNumberFormat="1" applyFont="1" applyBorder="1"/>
    <xf numFmtId="0" fontId="7" fillId="4" borderId="4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24" fillId="4" borderId="0" xfId="0" applyFont="1" applyFill="1" applyAlignment="1">
      <alignment horizontal="center" readingOrder="2"/>
    </xf>
    <xf numFmtId="0" fontId="0" fillId="0" borderId="0" xfId="0" applyAlignment="1">
      <alignment readingOrder="2"/>
    </xf>
    <xf numFmtId="168" fontId="2" fillId="3" borderId="17" xfId="0" applyNumberFormat="1" applyFont="1" applyFill="1" applyBorder="1" applyAlignment="1">
      <alignment horizontal="center"/>
    </xf>
    <xf numFmtId="168" fontId="0" fillId="0" borderId="14" xfId="0" applyNumberFormat="1" applyBorder="1"/>
    <xf numFmtId="168" fontId="9" fillId="3" borderId="18" xfId="0" applyNumberFormat="1" applyFont="1" applyFill="1" applyBorder="1" applyAlignment="1">
      <alignment horizontal="center"/>
    </xf>
    <xf numFmtId="168" fontId="0" fillId="0" borderId="15" xfId="0" applyNumberFormat="1" applyBorder="1"/>
    <xf numFmtId="168" fontId="9" fillId="3" borderId="18" xfId="0" applyNumberFormat="1" applyFont="1" applyFill="1" applyBorder="1" applyAlignment="1">
      <alignment horizontal="center" vertical="center"/>
    </xf>
    <xf numFmtId="168" fontId="0" fillId="0" borderId="15" xfId="0" applyNumberFormat="1" applyBorder="1" applyAlignment="1">
      <alignment horizontal="center" vertical="center"/>
    </xf>
    <xf numFmtId="0" fontId="9" fillId="3" borderId="17" xfId="0" applyFont="1" applyFill="1" applyBorder="1" applyAlignment="1">
      <alignment horizontal="center"/>
    </xf>
    <xf numFmtId="0" fontId="0" fillId="0" borderId="14" xfId="0" applyBorder="1"/>
    <xf numFmtId="0" fontId="5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6" fillId="0" borderId="10" xfId="0" applyFont="1" applyBorder="1"/>
    <xf numFmtId="0" fontId="16" fillId="0" borderId="5" xfId="0" applyFont="1" applyBorder="1"/>
    <xf numFmtId="0" fontId="15" fillId="2" borderId="0" xfId="0" applyFont="1" applyFill="1" applyAlignment="1">
      <alignment horizontal="center"/>
    </xf>
    <xf numFmtId="9" fontId="7" fillId="6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7" fillId="6" borderId="0" xfId="0" applyNumberFormat="1" applyFont="1" applyFill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0" fillId="0" borderId="15" xfId="0" applyBorder="1"/>
    <xf numFmtId="0" fontId="9" fillId="3" borderId="19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0" fontId="0" fillId="8" borderId="0" xfId="0" applyFill="1"/>
    <xf numFmtId="9" fontId="2" fillId="7" borderId="0" xfId="0" applyNumberFormat="1" applyFont="1" applyFill="1" applyAlignment="1">
      <alignment horizontal="center"/>
    </xf>
    <xf numFmtId="10" fontId="11" fillId="3" borderId="0" xfId="0" applyNumberFormat="1" applyFont="1" applyFill="1" applyAlignment="1">
      <alignment horizontal="center"/>
    </xf>
    <xf numFmtId="166" fontId="13" fillId="4" borderId="0" xfId="0" applyNumberFormat="1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164" fontId="7" fillId="13" borderId="0" xfId="0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2CC"/>
      <color rgb="FFEFD177"/>
      <color rgb="FFD897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1285874</xdr:colOff>
      <xdr:row>21</xdr:row>
      <xdr:rowOff>142875</xdr:rowOff>
    </xdr:from>
    <xdr:ext cx="1733550" cy="1562100"/>
    <xdr:pic>
      <xdr:nvPicPr>
        <xdr:cNvPr id="3" name="image1.png">
          <a:extLst>
            <a:ext uri="{FF2B5EF4-FFF2-40B4-BE49-F238E27FC236}">
              <a16:creationId xmlns:a16="http://schemas.microsoft.com/office/drawing/2014/main" id="{6ECD6003-17AD-4603-8600-177365042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25906001" y="4886325"/>
          <a:ext cx="1733550" cy="1562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1285874</xdr:colOff>
      <xdr:row>21</xdr:row>
      <xdr:rowOff>142875</xdr:rowOff>
    </xdr:from>
    <xdr:ext cx="1733550" cy="1562100"/>
    <xdr:pic>
      <xdr:nvPicPr>
        <xdr:cNvPr id="2" name="image1.png">
          <a:extLst>
            <a:ext uri="{FF2B5EF4-FFF2-40B4-BE49-F238E27FC236}">
              <a16:creationId xmlns:a16="http://schemas.microsoft.com/office/drawing/2014/main" id="{2168C37E-B618-41CE-934C-A2B1B1C53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47912919" y="5060156"/>
          <a:ext cx="1733550" cy="1562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-64900970</xdr:colOff>
      <xdr:row>20</xdr:row>
      <xdr:rowOff>195262</xdr:rowOff>
    </xdr:from>
    <xdr:ext cx="1733550" cy="1562100"/>
    <xdr:pic>
      <xdr:nvPicPr>
        <xdr:cNvPr id="3" name="image1.png">
          <a:extLst>
            <a:ext uri="{FF2B5EF4-FFF2-40B4-BE49-F238E27FC236}">
              <a16:creationId xmlns:a16="http://schemas.microsoft.com/office/drawing/2014/main" id="{8478FCB7-4EF3-4703-A665-965028440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24172451" y="4886325"/>
          <a:ext cx="1733550" cy="1562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-65053370</xdr:colOff>
      <xdr:row>21</xdr:row>
      <xdr:rowOff>121444</xdr:rowOff>
    </xdr:from>
    <xdr:ext cx="1733550" cy="1562100"/>
    <xdr:pic>
      <xdr:nvPicPr>
        <xdr:cNvPr id="4" name="image1.png">
          <a:extLst>
            <a:ext uri="{FF2B5EF4-FFF2-40B4-BE49-F238E27FC236}">
              <a16:creationId xmlns:a16="http://schemas.microsoft.com/office/drawing/2014/main" id="{B1C826A1-C77B-4508-AB0B-5EBE60D4E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24324851" y="5038725"/>
          <a:ext cx="1733550" cy="15621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440530</xdr:colOff>
      <xdr:row>0</xdr:row>
      <xdr:rowOff>142871</xdr:rowOff>
    </xdr:from>
    <xdr:ext cx="7060408" cy="7161919"/>
    <xdr:pic>
      <xdr:nvPicPr>
        <xdr:cNvPr id="5" name="image1.png">
          <a:extLst>
            <a:ext uri="{FF2B5EF4-FFF2-40B4-BE49-F238E27FC236}">
              <a16:creationId xmlns:a16="http://schemas.microsoft.com/office/drawing/2014/main" id="{5177F551-6E5E-4EA2-8543-0213024B5AC3}"/>
            </a:ext>
          </a:extLst>
        </xdr:cNvPr>
        <xdr:cNvPicPr preferRelativeResize="0"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39204687" y="142871"/>
          <a:ext cx="7060408" cy="716191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439737</xdr:colOff>
      <xdr:row>37</xdr:row>
      <xdr:rowOff>48286</xdr:rowOff>
    </xdr:from>
    <xdr:ext cx="4076700" cy="2713963"/>
    <xdr:pic>
      <xdr:nvPicPr>
        <xdr:cNvPr id="6" name="image1.png">
          <a:extLst>
            <a:ext uri="{FF2B5EF4-FFF2-40B4-BE49-F238E27FC236}">
              <a16:creationId xmlns:a16="http://schemas.microsoft.com/office/drawing/2014/main" id="{1A2F71A9-D363-4B97-90FA-6081928E88B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86461188" y="7938161"/>
          <a:ext cx="4076700" cy="2713963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576824</xdr:colOff>
      <xdr:row>37</xdr:row>
      <xdr:rowOff>72099</xdr:rowOff>
    </xdr:from>
    <xdr:ext cx="4070019" cy="2713963"/>
    <xdr:pic>
      <xdr:nvPicPr>
        <xdr:cNvPr id="7" name="image1.png">
          <a:extLst>
            <a:ext uri="{FF2B5EF4-FFF2-40B4-BE49-F238E27FC236}">
              <a16:creationId xmlns:a16="http://schemas.microsoft.com/office/drawing/2014/main" id="{1FB3506F-D278-46D9-B127-9610B4FDB59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82092157" y="7961974"/>
          <a:ext cx="4070019" cy="2713963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459812</xdr:colOff>
      <xdr:row>37</xdr:row>
      <xdr:rowOff>36380</xdr:rowOff>
    </xdr:from>
    <xdr:ext cx="4070019" cy="2713962"/>
    <xdr:pic>
      <xdr:nvPicPr>
        <xdr:cNvPr id="8" name="image1.png">
          <a:extLst>
            <a:ext uri="{FF2B5EF4-FFF2-40B4-BE49-F238E27FC236}">
              <a16:creationId xmlns:a16="http://schemas.microsoft.com/office/drawing/2014/main" id="{0FECF9D8-0DEE-44E0-BE45-AA96818C3D2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77668919" y="7926255"/>
          <a:ext cx="4070019" cy="271396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449964</xdr:colOff>
      <xdr:row>53</xdr:row>
      <xdr:rowOff>60180</xdr:rowOff>
    </xdr:from>
    <xdr:ext cx="4070017" cy="2713962"/>
    <xdr:pic>
      <xdr:nvPicPr>
        <xdr:cNvPr id="9" name="image1.png">
          <a:extLst>
            <a:ext uri="{FF2B5EF4-FFF2-40B4-BE49-F238E27FC236}">
              <a16:creationId xmlns:a16="http://schemas.microsoft.com/office/drawing/2014/main" id="{D40494B5-2A10-4FEB-B578-2579E2B5B9E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86457644" y="10728180"/>
          <a:ext cx="4070017" cy="271396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543294</xdr:colOff>
      <xdr:row>53</xdr:row>
      <xdr:rowOff>60180</xdr:rowOff>
    </xdr:from>
    <xdr:ext cx="4070017" cy="2713961"/>
    <xdr:pic>
      <xdr:nvPicPr>
        <xdr:cNvPr id="10" name="image1.png">
          <a:extLst>
            <a:ext uri="{FF2B5EF4-FFF2-40B4-BE49-F238E27FC236}">
              <a16:creationId xmlns:a16="http://schemas.microsoft.com/office/drawing/2014/main" id="{A4F081B9-BE50-4818-8E5B-CB5930BCC4AC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82125689" y="10728180"/>
          <a:ext cx="4070017" cy="2713961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465969</xdr:colOff>
      <xdr:row>53</xdr:row>
      <xdr:rowOff>24461</xdr:rowOff>
    </xdr:from>
    <xdr:ext cx="4070016" cy="2713961"/>
    <xdr:pic>
      <xdr:nvPicPr>
        <xdr:cNvPr id="11" name="image1.png">
          <a:extLst>
            <a:ext uri="{FF2B5EF4-FFF2-40B4-BE49-F238E27FC236}">
              <a16:creationId xmlns:a16="http://schemas.microsoft.com/office/drawing/2014/main" id="{B41AE439-D471-49B1-9577-D7116350EB9B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777662765" y="10692461"/>
          <a:ext cx="4070016" cy="271396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48"/>
  <sheetViews>
    <sheetView rightToLeft="1" tabSelected="1" zoomScale="70" zoomScaleNormal="70" workbookViewId="0">
      <selection activeCell="C5" sqref="C5:C7"/>
    </sheetView>
  </sheetViews>
  <sheetFormatPr defaultColWidth="12.5703125" defaultRowHeight="15.75" customHeight="1"/>
  <cols>
    <col min="1" max="1" width="48.140625" customWidth="1"/>
    <col min="2" max="3" width="15.42578125" customWidth="1"/>
    <col min="4" max="4" width="6" customWidth="1"/>
    <col min="5" max="5" width="46.7109375" customWidth="1"/>
    <col min="6" max="6" width="13.7109375" customWidth="1"/>
    <col min="7" max="7" width="5.5703125" customWidth="1"/>
    <col min="8" max="8" width="32" customWidth="1"/>
    <col min="9" max="9" width="19" customWidth="1"/>
  </cols>
  <sheetData>
    <row r="1" spans="1:15" ht="23.25">
      <c r="A1" s="92" t="s">
        <v>0</v>
      </c>
      <c r="B1" s="64"/>
      <c r="C1" s="64"/>
      <c r="D1" s="1"/>
      <c r="E1" s="85" t="s">
        <v>1</v>
      </c>
      <c r="F1" s="64"/>
      <c r="G1" s="1"/>
      <c r="H1" s="85" t="s">
        <v>48</v>
      </c>
      <c r="I1" s="64"/>
      <c r="J1" s="64"/>
      <c r="K1" s="1"/>
      <c r="L1" s="1"/>
      <c r="M1" s="1"/>
      <c r="N1" s="1"/>
      <c r="O1" s="1"/>
    </row>
    <row r="2" spans="1:15" ht="26.25" customHeight="1">
      <c r="A2" s="93">
        <v>360000</v>
      </c>
      <c r="B2" s="64"/>
      <c r="C2" s="64"/>
      <c r="D2" s="1"/>
      <c r="E2" s="2" t="s">
        <v>2</v>
      </c>
      <c r="F2" s="20"/>
      <c r="G2" s="1"/>
      <c r="H2" s="94">
        <f>$A$2-$B$27-$F$26-$F$31-C11</f>
        <v>270225.47826086957</v>
      </c>
      <c r="I2" s="64"/>
      <c r="J2" s="64"/>
      <c r="K2" s="1"/>
      <c r="L2" s="1"/>
      <c r="M2" s="1"/>
      <c r="N2" s="1"/>
      <c r="O2" s="1"/>
    </row>
    <row r="3" spans="1:15" ht="23.25">
      <c r="A3" s="83" t="s">
        <v>3</v>
      </c>
      <c r="B3" s="64"/>
      <c r="C3" s="64"/>
      <c r="D3" s="1"/>
      <c r="E3" s="3" t="s">
        <v>4</v>
      </c>
      <c r="F3" s="33"/>
      <c r="G3" s="1"/>
      <c r="H3" s="90" t="s">
        <v>49</v>
      </c>
      <c r="I3" s="64"/>
      <c r="J3" s="64"/>
      <c r="K3" s="1"/>
      <c r="L3" s="1"/>
      <c r="M3" s="1"/>
      <c r="N3" s="1"/>
      <c r="O3" s="1"/>
    </row>
    <row r="4" spans="1:15">
      <c r="A4" s="84" t="s">
        <v>5</v>
      </c>
      <c r="B4" s="64"/>
      <c r="C4" s="64"/>
      <c r="D4" s="1"/>
      <c r="E4" s="3" t="s">
        <v>6</v>
      </c>
      <c r="F4" s="20"/>
      <c r="G4" s="1"/>
      <c r="H4" s="91">
        <f>$H$2/$A$2</f>
        <v>0.75062632850241551</v>
      </c>
      <c r="I4" s="64"/>
      <c r="J4" s="64"/>
      <c r="K4" s="1"/>
      <c r="L4" s="1"/>
      <c r="M4" s="1"/>
      <c r="N4" s="1"/>
      <c r="O4" s="1"/>
    </row>
    <row r="5" spans="1:15" ht="23.25">
      <c r="A5" s="4" t="s">
        <v>9</v>
      </c>
      <c r="B5" s="5">
        <f>48450/2422500</f>
        <v>0.02</v>
      </c>
      <c r="C5" s="107">
        <f>1166</f>
        <v>1166</v>
      </c>
      <c r="D5" s="1"/>
      <c r="E5" s="2" t="s">
        <v>8</v>
      </c>
      <c r="F5" s="33"/>
      <c r="G5" s="1"/>
      <c r="H5" s="85" t="s">
        <v>50</v>
      </c>
      <c r="I5" s="64"/>
      <c r="J5" s="64"/>
      <c r="K5" s="1"/>
      <c r="L5" s="1"/>
      <c r="M5" s="1"/>
      <c r="N5" s="1"/>
      <c r="O5" s="1"/>
    </row>
    <row r="6" spans="1:15" ht="15">
      <c r="A6" s="4" t="s">
        <v>11</v>
      </c>
      <c r="B6" s="5">
        <v>2E-3</v>
      </c>
      <c r="C6" s="107">
        <f>93</f>
        <v>93</v>
      </c>
      <c r="D6" s="1"/>
      <c r="E6" s="2" t="s">
        <v>10</v>
      </c>
      <c r="F6" s="34"/>
      <c r="G6" s="1"/>
      <c r="H6" s="86">
        <f>C11+B21+B27+H2+F26</f>
        <v>317243.47826086957</v>
      </c>
      <c r="I6" s="64"/>
      <c r="J6" s="64"/>
      <c r="K6" s="1"/>
      <c r="L6" s="1"/>
      <c r="M6" s="1"/>
      <c r="N6" s="1"/>
      <c r="O6" s="1"/>
    </row>
    <row r="7" spans="1:15" ht="15">
      <c r="A7" s="4" t="s">
        <v>13</v>
      </c>
      <c r="B7" s="5">
        <v>6.0000000000000001E-3</v>
      </c>
      <c r="C7" s="107">
        <f>350</f>
        <v>350</v>
      </c>
      <c r="D7" s="1"/>
      <c r="E7" s="2" t="s">
        <v>12</v>
      </c>
      <c r="F7" s="34"/>
      <c r="G7" s="1"/>
      <c r="H7" s="1"/>
      <c r="I7" s="1"/>
      <c r="J7" s="1"/>
      <c r="K7" s="1"/>
      <c r="L7" s="1"/>
      <c r="M7" s="1"/>
      <c r="N7" s="1"/>
      <c r="O7" s="1"/>
    </row>
    <row r="8" spans="1:15" ht="23.25">
      <c r="A8" s="4" t="s">
        <v>15</v>
      </c>
      <c r="B8" s="7"/>
      <c r="C8" s="8">
        <v>500</v>
      </c>
      <c r="D8" s="1"/>
      <c r="E8" s="2" t="s">
        <v>14</v>
      </c>
      <c r="F8" s="33"/>
      <c r="G8" s="1"/>
      <c r="H8" s="87" t="s">
        <v>51</v>
      </c>
      <c r="I8" s="88"/>
      <c r="J8" s="89"/>
      <c r="K8" s="1"/>
      <c r="L8" s="1"/>
      <c r="M8" s="1"/>
      <c r="N8" s="1"/>
      <c r="O8" s="1"/>
    </row>
    <row r="9" spans="1:15" ht="15">
      <c r="A9" s="4" t="s">
        <v>17</v>
      </c>
      <c r="B9" s="9">
        <v>8.7210084033613449E-3</v>
      </c>
      <c r="C9" s="107">
        <f>509</f>
        <v>509</v>
      </c>
      <c r="D9" s="1"/>
      <c r="E9" s="2" t="s">
        <v>16</v>
      </c>
      <c r="F9" s="21"/>
      <c r="G9" s="22"/>
      <c r="H9" s="4" t="s">
        <v>52</v>
      </c>
      <c r="I9" s="4" t="s">
        <v>53</v>
      </c>
      <c r="J9" s="23">
        <v>1</v>
      </c>
      <c r="K9" s="1"/>
      <c r="L9" s="1"/>
      <c r="M9" s="1"/>
      <c r="N9" s="1"/>
      <c r="O9" s="1"/>
    </row>
    <row r="10" spans="1:15">
      <c r="A10" s="4" t="s">
        <v>19</v>
      </c>
      <c r="B10" s="6"/>
      <c r="C10" s="8">
        <v>400</v>
      </c>
      <c r="D10" s="1"/>
      <c r="E10" s="2" t="s">
        <v>18</v>
      </c>
      <c r="F10" s="36"/>
      <c r="G10" s="22"/>
      <c r="H10" s="4" t="s">
        <v>54</v>
      </c>
      <c r="I10" s="25">
        <v>0.8</v>
      </c>
      <c r="J10" s="26">
        <f>$H$2*$I$10</f>
        <v>216180.38260869565</v>
      </c>
      <c r="K10" s="1"/>
      <c r="L10" s="1"/>
      <c r="M10" s="1"/>
      <c r="N10" s="1"/>
      <c r="O10" s="1"/>
    </row>
    <row r="11" spans="1:15" ht="15">
      <c r="A11" s="10" t="s">
        <v>21</v>
      </c>
      <c r="B11" s="6"/>
      <c r="C11" s="6">
        <f>SUM(C5:C10)</f>
        <v>3018</v>
      </c>
      <c r="D11" s="1"/>
      <c r="E11" s="2" t="s">
        <v>20</v>
      </c>
      <c r="F11" s="20"/>
      <c r="G11" s="22"/>
      <c r="H11" s="4" t="s">
        <v>55</v>
      </c>
      <c r="I11" s="5">
        <v>6.5000000000000002E-2</v>
      </c>
      <c r="J11" s="26">
        <f>$J$10*$I$11</f>
        <v>14051.724869565218</v>
      </c>
      <c r="K11" s="1"/>
      <c r="L11" s="1"/>
      <c r="M11" s="1"/>
      <c r="N11" s="1"/>
      <c r="O11" s="1"/>
    </row>
    <row r="12" spans="1:15" ht="15">
      <c r="A12" s="1"/>
      <c r="B12" s="1"/>
      <c r="C12" s="1"/>
      <c r="D12" s="1"/>
      <c r="E12" s="2" t="s">
        <v>56</v>
      </c>
      <c r="F12" s="38"/>
      <c r="G12" s="22"/>
      <c r="H12" s="4" t="s">
        <v>57</v>
      </c>
      <c r="I12" s="27">
        <v>0.02</v>
      </c>
      <c r="J12" s="26">
        <f>$I$12*$J$10</f>
        <v>4323.6076521739133</v>
      </c>
      <c r="K12" s="1"/>
      <c r="L12" s="1"/>
      <c r="M12" s="1"/>
      <c r="N12" s="1"/>
      <c r="O12" s="1"/>
    </row>
    <row r="13" spans="1:15">
      <c r="A13" s="73" t="s">
        <v>67</v>
      </c>
      <c r="B13" s="74"/>
      <c r="C13" s="74"/>
      <c r="D13" s="1"/>
      <c r="E13" s="2" t="s">
        <v>22</v>
      </c>
      <c r="F13" s="24"/>
      <c r="G13" s="22"/>
      <c r="H13" s="63" t="s">
        <v>58</v>
      </c>
      <c r="I13" s="64"/>
      <c r="J13" s="19">
        <f>$H$6-$J$10</f>
        <v>101063.09565217391</v>
      </c>
      <c r="K13" s="1"/>
      <c r="L13" s="1"/>
      <c r="M13" s="1"/>
      <c r="N13" s="1"/>
      <c r="O13" s="1"/>
    </row>
    <row r="14" spans="1:15" ht="15">
      <c r="A14" s="2" t="s">
        <v>24</v>
      </c>
      <c r="B14" s="75">
        <v>250</v>
      </c>
      <c r="C14" s="76"/>
      <c r="D14" s="1"/>
      <c r="E14" s="2" t="s">
        <v>23</v>
      </c>
      <c r="F14" s="34"/>
      <c r="G14" s="22"/>
      <c r="H14" s="28"/>
      <c r="I14" s="29"/>
      <c r="J14" s="29"/>
      <c r="K14" s="1"/>
      <c r="L14" s="1"/>
      <c r="M14" s="1"/>
      <c r="N14" s="1"/>
      <c r="O14" s="1"/>
    </row>
    <row r="15" spans="1:15" ht="15">
      <c r="A15" s="2" t="s">
        <v>26</v>
      </c>
      <c r="B15" s="77">
        <v>150</v>
      </c>
      <c r="C15" s="78"/>
      <c r="D15" s="1"/>
      <c r="E15" s="2" t="s">
        <v>25</v>
      </c>
      <c r="F15" s="33"/>
      <c r="G15" s="1"/>
      <c r="H15" s="70" t="s">
        <v>66</v>
      </c>
      <c r="I15" s="71"/>
      <c r="J15" s="40">
        <f>H6+J11+J12</f>
        <v>335618.81078260869</v>
      </c>
      <c r="K15" s="1"/>
      <c r="L15" s="1"/>
      <c r="M15" s="1"/>
      <c r="N15" s="1"/>
      <c r="O15" s="1"/>
    </row>
    <row r="16" spans="1:15" ht="15">
      <c r="A16" s="2" t="s">
        <v>28</v>
      </c>
      <c r="B16" s="79">
        <v>300</v>
      </c>
      <c r="C16" s="80"/>
      <c r="D16" s="1"/>
      <c r="E16" s="2" t="s">
        <v>27</v>
      </c>
      <c r="F16" s="33"/>
      <c r="G16" s="1"/>
      <c r="H16" s="72" t="s">
        <v>65</v>
      </c>
      <c r="I16" s="63"/>
      <c r="J16" s="42">
        <f>A2-J15</f>
        <v>24381.189217391307</v>
      </c>
      <c r="K16" s="1"/>
      <c r="L16" s="1"/>
      <c r="M16" s="1"/>
      <c r="N16" s="1"/>
      <c r="O16" s="1"/>
    </row>
    <row r="17" spans="1:15" ht="15">
      <c r="A17" s="2" t="s">
        <v>30</v>
      </c>
      <c r="B17" s="81"/>
      <c r="C17" s="82"/>
      <c r="D17" s="1"/>
      <c r="E17" s="2" t="s">
        <v>29</v>
      </c>
      <c r="F17" s="20"/>
      <c r="G17" s="1"/>
      <c r="H17" s="1"/>
      <c r="I17" s="1"/>
      <c r="J17" s="1"/>
      <c r="K17" s="1"/>
      <c r="L17" s="1"/>
      <c r="M17" s="1"/>
      <c r="N17" s="1"/>
      <c r="O17" s="1"/>
    </row>
    <row r="18" spans="1:15" ht="15">
      <c r="A18" s="2" t="s">
        <v>32</v>
      </c>
      <c r="B18" s="95"/>
      <c r="C18" s="96"/>
      <c r="D18" s="1"/>
      <c r="E18" s="2" t="s">
        <v>31</v>
      </c>
      <c r="F18" s="39">
        <v>20000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 ht="15">
      <c r="A19" s="12" t="s">
        <v>34</v>
      </c>
      <c r="B19" s="95"/>
      <c r="C19" s="96"/>
      <c r="D19" s="11"/>
      <c r="E19" s="2" t="s">
        <v>33</v>
      </c>
      <c r="F19" s="20"/>
      <c r="G19" s="1"/>
      <c r="H19" s="1"/>
      <c r="I19" s="1"/>
      <c r="J19" s="1"/>
      <c r="K19" s="1"/>
      <c r="L19" s="1"/>
      <c r="M19" s="1"/>
      <c r="N19" s="1"/>
      <c r="O19" s="1"/>
    </row>
    <row r="20" spans="1:15" ht="23.25">
      <c r="A20" s="12" t="s">
        <v>36</v>
      </c>
      <c r="B20" s="97">
        <v>6</v>
      </c>
      <c r="C20" s="98"/>
      <c r="D20" s="1"/>
      <c r="E20" s="2" t="s">
        <v>35</v>
      </c>
      <c r="F20" s="38"/>
      <c r="G20" s="1"/>
      <c r="H20" s="65" t="s">
        <v>59</v>
      </c>
      <c r="I20" s="64"/>
      <c r="J20" s="66"/>
      <c r="K20" s="1"/>
      <c r="L20" s="1"/>
      <c r="M20" s="1"/>
      <c r="N20" s="1"/>
      <c r="O20" s="1"/>
    </row>
    <row r="21" spans="1:15" ht="18">
      <c r="A21" s="13" t="s">
        <v>38</v>
      </c>
      <c r="B21" s="99">
        <f>SUM($B$14+$B$15+$B$16+$B$17+$B$18+$B$19)*$B$20</f>
        <v>4200</v>
      </c>
      <c r="C21" s="64"/>
      <c r="D21" s="1"/>
      <c r="E21" s="2" t="s">
        <v>37</v>
      </c>
      <c r="F21" s="20"/>
      <c r="G21" s="1"/>
      <c r="H21" s="67">
        <f>J16/J13</f>
        <v>0.24124720364101429</v>
      </c>
      <c r="I21" s="68"/>
      <c r="J21" s="69"/>
      <c r="K21" s="1"/>
      <c r="L21" s="1"/>
      <c r="M21" s="1"/>
      <c r="N21" s="1"/>
      <c r="O21" s="1"/>
    </row>
    <row r="22" spans="1:15" ht="15">
      <c r="A22" s="64"/>
      <c r="B22" s="64"/>
      <c r="C22" s="64"/>
      <c r="D22" s="1"/>
      <c r="E22" s="2" t="s">
        <v>39</v>
      </c>
      <c r="F22" s="37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84" t="s">
        <v>60</v>
      </c>
      <c r="B23" s="64"/>
      <c r="C23" s="64"/>
      <c r="D23" s="1"/>
      <c r="E23" s="2" t="s">
        <v>40</v>
      </c>
      <c r="F23" s="33"/>
      <c r="G23" s="1"/>
      <c r="H23" s="1"/>
      <c r="I23" s="1"/>
      <c r="J23" s="1"/>
      <c r="K23" s="1"/>
      <c r="L23" s="1"/>
      <c r="M23" s="1"/>
      <c r="N23" s="1"/>
      <c r="O23" s="1"/>
    </row>
    <row r="24" spans="1:15" ht="15">
      <c r="A24" s="14" t="s">
        <v>61</v>
      </c>
      <c r="B24" s="30">
        <v>5.0000000000000001E-3</v>
      </c>
      <c r="C24" s="31">
        <f>B24*A2</f>
        <v>1800</v>
      </c>
      <c r="D24" s="1"/>
      <c r="E24" s="2" t="s">
        <v>41</v>
      </c>
      <c r="F24" s="2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4" t="s">
        <v>62</v>
      </c>
      <c r="B25" s="32">
        <v>0.05</v>
      </c>
      <c r="C25" s="31">
        <f>B25*A2</f>
        <v>18000</v>
      </c>
      <c r="D25" s="1"/>
      <c r="E25" s="2" t="s">
        <v>42</v>
      </c>
      <c r="F25" s="35"/>
      <c r="G25" s="1"/>
      <c r="H25" s="1"/>
      <c r="I25" s="1"/>
      <c r="J25" s="1"/>
      <c r="K25" s="1"/>
      <c r="L25" s="1"/>
      <c r="M25" s="1"/>
      <c r="N25" s="1"/>
      <c r="O25" s="1"/>
    </row>
    <row r="26" spans="1:15" ht="15">
      <c r="A26" s="14" t="s">
        <v>45</v>
      </c>
      <c r="B26" s="103"/>
      <c r="C26" s="64"/>
      <c r="D26" s="1"/>
      <c r="E26" s="15" t="s">
        <v>43</v>
      </c>
      <c r="F26" s="16">
        <f>SUM($F$2:$F$25)</f>
        <v>20000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ht="12.75">
      <c r="A27" s="13" t="s">
        <v>47</v>
      </c>
      <c r="B27" s="104">
        <f>SUM(C24+C25+B26)</f>
        <v>19800</v>
      </c>
      <c r="C27" s="64"/>
      <c r="D27" s="1"/>
      <c r="E27" s="13" t="s">
        <v>44</v>
      </c>
      <c r="F27" s="17">
        <f>$F$26/$A$2</f>
        <v>5.5555555555555552E-2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 ht="12.75">
      <c r="A28" s="105"/>
      <c r="B28" s="64"/>
      <c r="C28" s="6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06"/>
      <c r="B29" s="101"/>
      <c r="C29" s="10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3.25">
      <c r="A30" s="45" t="s">
        <v>68</v>
      </c>
      <c r="B30" s="100"/>
      <c r="C30" s="101"/>
      <c r="D30" s="1"/>
      <c r="E30" s="61" t="s">
        <v>46</v>
      </c>
      <c r="F30" s="62"/>
      <c r="G30" s="1"/>
      <c r="H30" s="1"/>
      <c r="I30" s="1"/>
      <c r="J30" s="1"/>
      <c r="K30" s="1"/>
      <c r="L30" s="1"/>
      <c r="M30" s="1"/>
      <c r="N30" s="1"/>
      <c r="O30" s="1"/>
    </row>
    <row r="31" spans="1:15" ht="12.75">
      <c r="B31" s="1"/>
      <c r="C31" s="1"/>
      <c r="D31" s="1"/>
      <c r="E31" s="12" t="s">
        <v>63</v>
      </c>
      <c r="F31" s="18">
        <f>$A$2-($A$2/(1+15%))</f>
        <v>46956.521739130432</v>
      </c>
      <c r="G31" s="1"/>
      <c r="H31" s="1"/>
      <c r="I31" s="1"/>
      <c r="J31" s="1"/>
      <c r="K31" s="1"/>
      <c r="L31" s="1"/>
      <c r="M31" s="1"/>
      <c r="N31" s="1"/>
      <c r="O31" s="1"/>
    </row>
    <row r="32" spans="1:15" ht="12.75">
      <c r="A32" s="1"/>
      <c r="B32" s="102"/>
      <c r="C32" s="101"/>
      <c r="D32" s="1"/>
      <c r="E32" s="43" t="s">
        <v>64</v>
      </c>
      <c r="F32" s="44">
        <f>F31/H6</f>
        <v>0.14801414357371925</v>
      </c>
      <c r="G32" s="1"/>
      <c r="H32" s="1"/>
      <c r="I32" s="1"/>
      <c r="J32" s="1"/>
      <c r="K32" s="1"/>
      <c r="L32" s="1"/>
      <c r="M32" s="1"/>
      <c r="N32" s="1"/>
      <c r="O32" s="1"/>
    </row>
    <row r="33" spans="1:15" ht="12.75">
      <c r="A33" s="1"/>
      <c r="B33" s="1"/>
      <c r="C33" s="1"/>
      <c r="D33" s="1"/>
      <c r="E33" s="41"/>
      <c r="F33" s="41"/>
      <c r="G33" s="1"/>
      <c r="H33" s="1"/>
      <c r="I33" s="1"/>
      <c r="J33" s="1"/>
      <c r="K33" s="1"/>
      <c r="L33" s="1"/>
      <c r="M33" s="1"/>
      <c r="N33" s="1"/>
      <c r="O33" s="1"/>
    </row>
    <row r="34" spans="1:15" ht="12.75">
      <c r="A34" s="1"/>
      <c r="B34" s="1"/>
      <c r="C34" s="1"/>
      <c r="D34" s="2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2.7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2.7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1"/>
      <c r="N43" s="1"/>
      <c r="O43" s="1"/>
    </row>
    <row r="44" spans="1:15" ht="12.75">
      <c r="A44" s="1"/>
      <c r="B44" s="1"/>
      <c r="C44" s="1"/>
      <c r="D44" s="1"/>
      <c r="E44" s="1"/>
      <c r="F44" s="1"/>
      <c r="G44" s="1"/>
      <c r="H44" s="1"/>
      <c r="I44" s="1"/>
    </row>
    <row r="45" spans="1:15" ht="12.75">
      <c r="A45" s="1"/>
      <c r="B45" s="1"/>
      <c r="C45" s="1"/>
      <c r="D45" s="1"/>
      <c r="E45" s="1"/>
      <c r="F45" s="1"/>
      <c r="G45" s="1"/>
    </row>
    <row r="46" spans="1:15" ht="12.75">
      <c r="D46" s="1"/>
      <c r="E46" s="1"/>
      <c r="F46" s="1"/>
      <c r="G46" s="1"/>
    </row>
    <row r="47" spans="1:15" ht="12.75">
      <c r="D47" s="1"/>
      <c r="E47" s="1"/>
      <c r="F47" s="1"/>
      <c r="G47" s="1"/>
    </row>
    <row r="48" spans="1:15" ht="12.75">
      <c r="D48" s="1"/>
      <c r="G48" s="1"/>
    </row>
  </sheetData>
  <mergeCells count="35">
    <mergeCell ref="B30:C30"/>
    <mergeCell ref="B32:C32"/>
    <mergeCell ref="A23:C23"/>
    <mergeCell ref="B26:C26"/>
    <mergeCell ref="B27:C27"/>
    <mergeCell ref="A28:C28"/>
    <mergeCell ref="A29:C29"/>
    <mergeCell ref="B18:C18"/>
    <mergeCell ref="B19:C19"/>
    <mergeCell ref="B20:C20"/>
    <mergeCell ref="B21:C21"/>
    <mergeCell ref="A22:C22"/>
    <mergeCell ref="A1:C1"/>
    <mergeCell ref="E1:F1"/>
    <mergeCell ref="H1:J1"/>
    <mergeCell ref="A2:C2"/>
    <mergeCell ref="H2:J2"/>
    <mergeCell ref="A3:C3"/>
    <mergeCell ref="A4:C4"/>
    <mergeCell ref="H5:J5"/>
    <mergeCell ref="H6:J6"/>
    <mergeCell ref="H8:J8"/>
    <mergeCell ref="H3:J3"/>
    <mergeCell ref="H4:J4"/>
    <mergeCell ref="A13:C13"/>
    <mergeCell ref="B14:C14"/>
    <mergeCell ref="B15:C15"/>
    <mergeCell ref="B16:C16"/>
    <mergeCell ref="B17:C17"/>
    <mergeCell ref="E30:F30"/>
    <mergeCell ref="H13:I13"/>
    <mergeCell ref="H20:J20"/>
    <mergeCell ref="H21:J21"/>
    <mergeCell ref="H15:I15"/>
    <mergeCell ref="H16:I1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9BB4-8760-4F77-B7F7-29A41A62A8DE}">
  <dimension ref="A1:Z72"/>
  <sheetViews>
    <sheetView rightToLeft="1" topLeftCell="D1" zoomScale="110" zoomScaleNormal="110" workbookViewId="0">
      <selection activeCell="F4" sqref="F4"/>
    </sheetView>
  </sheetViews>
  <sheetFormatPr defaultColWidth="12.5703125" defaultRowHeight="15.75" customHeight="1"/>
  <cols>
    <col min="1" max="1" width="48.140625" customWidth="1"/>
    <col min="2" max="3" width="15.42578125" customWidth="1"/>
    <col min="4" max="4" width="6" customWidth="1"/>
    <col min="5" max="5" width="46.7109375" customWidth="1"/>
    <col min="6" max="6" width="13.7109375" customWidth="1"/>
    <col min="7" max="7" width="5.5703125" customWidth="1"/>
    <col min="8" max="8" width="32" customWidth="1"/>
    <col min="9" max="9" width="19" customWidth="1"/>
  </cols>
  <sheetData>
    <row r="1" spans="1:23" ht="23.25">
      <c r="A1" s="92" t="s">
        <v>0</v>
      </c>
      <c r="B1" s="64"/>
      <c r="C1" s="64"/>
      <c r="D1" s="1"/>
      <c r="E1" s="85" t="s">
        <v>1</v>
      </c>
      <c r="F1" s="64"/>
      <c r="G1" s="1"/>
      <c r="H1" s="85" t="s">
        <v>48</v>
      </c>
      <c r="I1" s="64"/>
      <c r="J1" s="6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6.25" customHeight="1">
      <c r="A2" s="93">
        <v>465000</v>
      </c>
      <c r="B2" s="64"/>
      <c r="C2" s="64"/>
      <c r="D2" s="1"/>
      <c r="E2" s="2" t="s">
        <v>2</v>
      </c>
      <c r="F2" s="49">
        <v>3250</v>
      </c>
      <c r="G2" s="47"/>
      <c r="H2" s="94">
        <v>289900</v>
      </c>
      <c r="I2" s="64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3.25">
      <c r="A3" s="83" t="s">
        <v>3</v>
      </c>
      <c r="B3" s="64"/>
      <c r="C3" s="64"/>
      <c r="D3" s="1"/>
      <c r="E3" s="3" t="s">
        <v>4</v>
      </c>
      <c r="F3" s="50"/>
      <c r="G3" s="1"/>
      <c r="H3" s="90" t="s">
        <v>49</v>
      </c>
      <c r="I3" s="64"/>
      <c r="J3" s="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84" t="s">
        <v>5</v>
      </c>
      <c r="B4" s="64"/>
      <c r="C4" s="64"/>
      <c r="D4" s="1"/>
      <c r="E4" s="3" t="s">
        <v>6</v>
      </c>
      <c r="F4" s="51"/>
      <c r="G4" s="1"/>
      <c r="H4" s="91">
        <f>$H$2/$A$2</f>
        <v>0.62344086021505374</v>
      </c>
      <c r="I4" s="64"/>
      <c r="J4" s="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3.25">
      <c r="A5" s="4" t="s">
        <v>7</v>
      </c>
      <c r="B5" s="5">
        <v>2.0715966386554599E-3</v>
      </c>
      <c r="C5" s="6">
        <f>B5*$H$2</f>
        <v>600.55586554621777</v>
      </c>
      <c r="D5" s="1"/>
      <c r="E5" s="2" t="s">
        <v>70</v>
      </c>
      <c r="F5" s="52">
        <v>300</v>
      </c>
      <c r="G5" s="1"/>
      <c r="H5" s="85" t="s">
        <v>50</v>
      </c>
      <c r="I5" s="64"/>
      <c r="J5" s="6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>
      <c r="A6" s="4" t="s">
        <v>9</v>
      </c>
      <c r="B6" s="5">
        <f>48450/2422500</f>
        <v>0.02</v>
      </c>
      <c r="C6" s="6">
        <f t="shared" ref="C6" si="0">B6*$H$2</f>
        <v>5798</v>
      </c>
      <c r="D6" s="1"/>
      <c r="E6" s="2" t="s">
        <v>10</v>
      </c>
      <c r="F6" s="49">
        <v>10500</v>
      </c>
      <c r="G6" s="47"/>
      <c r="H6" s="86">
        <f>C12+B22+B28+H2+F26</f>
        <v>392950.01620168064</v>
      </c>
      <c r="I6" s="64"/>
      <c r="J6" s="6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>
      <c r="A7" s="4" t="s">
        <v>11</v>
      </c>
      <c r="B7" s="5">
        <v>2E-3</v>
      </c>
      <c r="C7" s="6">
        <f>IF(I10=0,0,B7*J10)</f>
        <v>463.84000000000003</v>
      </c>
      <c r="D7" s="1"/>
      <c r="E7" s="2" t="s">
        <v>12</v>
      </c>
      <c r="F7" s="5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3.25">
      <c r="A8" s="4" t="s">
        <v>13</v>
      </c>
      <c r="B8" s="5">
        <v>6.0000000000000001E-3</v>
      </c>
      <c r="C8" s="6">
        <f>B8*H2</f>
        <v>1739.4</v>
      </c>
      <c r="D8" s="1"/>
      <c r="E8" s="2" t="s">
        <v>14</v>
      </c>
      <c r="F8" s="52"/>
      <c r="G8" s="1"/>
      <c r="H8" s="87" t="s">
        <v>51</v>
      </c>
      <c r="I8" s="88"/>
      <c r="J8" s="8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>
      <c r="A9" s="4" t="s">
        <v>15</v>
      </c>
      <c r="B9" s="7"/>
      <c r="C9" s="8">
        <v>500</v>
      </c>
      <c r="D9" s="1"/>
      <c r="E9" s="2" t="s">
        <v>16</v>
      </c>
      <c r="F9" s="49">
        <v>500</v>
      </c>
      <c r="G9" s="48"/>
      <c r="H9" s="4" t="s">
        <v>52</v>
      </c>
      <c r="I9" s="4" t="s">
        <v>53</v>
      </c>
      <c r="J9" s="23"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>
      <c r="A10" s="4" t="s">
        <v>17</v>
      </c>
      <c r="B10" s="9">
        <v>8.7210084033613449E-3</v>
      </c>
      <c r="C10" s="6">
        <f>B10*H2</f>
        <v>2528.2203361344541</v>
      </c>
      <c r="D10" s="1"/>
      <c r="E10" s="2" t="s">
        <v>18</v>
      </c>
      <c r="F10" s="53"/>
      <c r="G10" s="22"/>
      <c r="H10" s="4" t="s">
        <v>54</v>
      </c>
      <c r="I10" s="25">
        <v>0.8</v>
      </c>
      <c r="J10" s="26">
        <f>$H$2*$I$10</f>
        <v>231920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>
      <c r="A11" s="4" t="s">
        <v>19</v>
      </c>
      <c r="B11" s="6"/>
      <c r="C11" s="8">
        <v>400</v>
      </c>
      <c r="D11" s="1"/>
      <c r="E11" s="2" t="s">
        <v>20</v>
      </c>
      <c r="F11" s="51"/>
      <c r="G11" s="48"/>
      <c r="H11" s="4" t="s">
        <v>55</v>
      </c>
      <c r="I11" s="5">
        <v>6.5000000000000002E-2</v>
      </c>
      <c r="J11" s="26">
        <f>$J$10*$I$11</f>
        <v>15074.800000000001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>
      <c r="A12" s="10" t="s">
        <v>21</v>
      </c>
      <c r="B12" s="6"/>
      <c r="C12" s="6">
        <f>SUM(C5:C11)</f>
        <v>12030.016201680672</v>
      </c>
      <c r="D12" s="1"/>
      <c r="E12" s="2" t="s">
        <v>56</v>
      </c>
      <c r="F12" s="54"/>
      <c r="G12" s="22"/>
      <c r="H12" s="4" t="s">
        <v>57</v>
      </c>
      <c r="I12" s="27">
        <v>0.02</v>
      </c>
      <c r="J12" s="26">
        <f>$I$12*$J$10</f>
        <v>4638.4000000000005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>
      <c r="A13" s="1"/>
      <c r="B13" s="1"/>
      <c r="C13" s="1"/>
      <c r="D13" s="1"/>
      <c r="E13" s="2" t="s">
        <v>22</v>
      </c>
      <c r="F13" s="55">
        <v>1500</v>
      </c>
      <c r="G13" s="48"/>
      <c r="H13" s="63" t="s">
        <v>58</v>
      </c>
      <c r="I13" s="64"/>
      <c r="J13" s="19">
        <f>$H$6-$J$10</f>
        <v>161030.01620168064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73" t="s">
        <v>67</v>
      </c>
      <c r="B14" s="74"/>
      <c r="C14" s="74"/>
      <c r="D14" s="1"/>
      <c r="E14" s="2" t="s">
        <v>23</v>
      </c>
      <c r="F14" s="53"/>
      <c r="G14" s="22"/>
      <c r="H14" s="28"/>
      <c r="I14" s="29"/>
      <c r="J14" s="2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>
      <c r="A15" s="2" t="s">
        <v>24</v>
      </c>
      <c r="B15" s="75">
        <v>250</v>
      </c>
      <c r="C15" s="76"/>
      <c r="D15" s="1"/>
      <c r="E15" s="2" t="s">
        <v>25</v>
      </c>
      <c r="F15" s="49">
        <v>4575</v>
      </c>
      <c r="G15" s="47"/>
      <c r="H15" s="70" t="s">
        <v>66</v>
      </c>
      <c r="I15" s="71"/>
      <c r="J15" s="40">
        <f>H6+J11+J12</f>
        <v>412663.21620168065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>
      <c r="A16" s="2" t="s">
        <v>26</v>
      </c>
      <c r="B16" s="77">
        <v>150</v>
      </c>
      <c r="C16" s="78"/>
      <c r="D16" s="1"/>
      <c r="E16" s="2" t="s">
        <v>27</v>
      </c>
      <c r="F16" s="54"/>
      <c r="G16" s="1"/>
      <c r="H16" s="72" t="s">
        <v>65</v>
      </c>
      <c r="I16" s="63"/>
      <c r="J16" s="42">
        <f>A2-J15</f>
        <v>52336.783798319346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>
      <c r="A17" s="2" t="s">
        <v>28</v>
      </c>
      <c r="B17" s="79">
        <v>300</v>
      </c>
      <c r="C17" s="80"/>
      <c r="D17" s="1"/>
      <c r="E17" s="2" t="s">
        <v>29</v>
      </c>
      <c r="F17" s="56">
        <v>7000</v>
      </c>
      <c r="G17" s="4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>
      <c r="A18" s="2" t="s">
        <v>30</v>
      </c>
      <c r="B18" s="81"/>
      <c r="C18" s="82"/>
      <c r="D18" s="1"/>
      <c r="E18" s="2" t="s">
        <v>31</v>
      </c>
      <c r="F18" s="57">
        <v>1500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>
      <c r="A19" s="2" t="s">
        <v>32</v>
      </c>
      <c r="B19" s="95"/>
      <c r="C19" s="96"/>
      <c r="D19" s="11"/>
      <c r="E19" s="2" t="s">
        <v>33</v>
      </c>
      <c r="F19" s="58">
        <v>500</v>
      </c>
      <c r="G19" s="4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3.25">
      <c r="A20" s="12" t="s">
        <v>34</v>
      </c>
      <c r="B20" s="95"/>
      <c r="C20" s="96"/>
      <c r="D20" s="1"/>
      <c r="E20" s="2" t="s">
        <v>35</v>
      </c>
      <c r="F20" s="56">
        <v>3500</v>
      </c>
      <c r="G20" s="47"/>
      <c r="H20" s="65" t="s">
        <v>59</v>
      </c>
      <c r="I20" s="64"/>
      <c r="J20" s="6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>
      <c r="A21" s="12" t="s">
        <v>36</v>
      </c>
      <c r="B21" s="97">
        <v>6</v>
      </c>
      <c r="C21" s="98"/>
      <c r="D21" s="1"/>
      <c r="E21" s="2" t="s">
        <v>37</v>
      </c>
      <c r="F21" s="50">
        <v>1000</v>
      </c>
      <c r="G21" s="1"/>
      <c r="H21" s="67">
        <f>J16/J13</f>
        <v>0.3250125972338635</v>
      </c>
      <c r="I21" s="68"/>
      <c r="J21" s="6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>
      <c r="A22" s="13" t="s">
        <v>38</v>
      </c>
      <c r="B22" s="99">
        <f>SUM($B$15+$B$16+$B$17+$B$18+$B$19+$B$20)*$B$21</f>
        <v>4200</v>
      </c>
      <c r="C22" s="64"/>
      <c r="D22" s="1"/>
      <c r="E22" s="2" t="s">
        <v>69</v>
      </c>
      <c r="F22" s="59">
        <v>2500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>
      <c r="A23" s="64"/>
      <c r="B23" s="64"/>
      <c r="C23" s="64"/>
      <c r="D23" s="1"/>
      <c r="E23" s="2" t="s">
        <v>40</v>
      </c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84" t="s">
        <v>60</v>
      </c>
      <c r="B24" s="64"/>
      <c r="C24" s="64"/>
      <c r="D24" s="1"/>
      <c r="E24" s="2" t="s">
        <v>41</v>
      </c>
      <c r="F24" s="5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>
      <c r="A25" s="14" t="s">
        <v>61</v>
      </c>
      <c r="B25" s="30">
        <v>5.0000000000000001E-3</v>
      </c>
      <c r="C25" s="31">
        <f>B25*A2</f>
        <v>2325</v>
      </c>
      <c r="D25" s="1"/>
      <c r="E25" s="2" t="s">
        <v>42</v>
      </c>
      <c r="F25" s="5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>
      <c r="A26" s="14" t="s">
        <v>62</v>
      </c>
      <c r="B26" s="32">
        <v>0.05</v>
      </c>
      <c r="C26" s="31">
        <f>B26*A2</f>
        <v>23250</v>
      </c>
      <c r="D26" s="1"/>
      <c r="E26" s="15" t="s">
        <v>43</v>
      </c>
      <c r="F26" s="16">
        <v>61245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>
      <c r="A27" s="14" t="s">
        <v>45</v>
      </c>
      <c r="B27" s="103"/>
      <c r="C27" s="64"/>
      <c r="D27" s="1"/>
      <c r="E27" s="13" t="s">
        <v>44</v>
      </c>
      <c r="F27" s="17">
        <f>$F$26/$A$2</f>
        <v>0.13170967741935483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>
      <c r="A28" s="13" t="s">
        <v>47</v>
      </c>
      <c r="B28" s="104">
        <f>SUM(C25+C26+B27)</f>
        <v>25575</v>
      </c>
      <c r="C28" s="6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>
      <c r="A29" s="105"/>
      <c r="B29" s="64"/>
      <c r="C29" s="6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3.25">
      <c r="A30" s="106"/>
      <c r="B30" s="101"/>
      <c r="C30" s="101"/>
      <c r="D30" s="1"/>
      <c r="E30" s="61" t="s">
        <v>46</v>
      </c>
      <c r="F30" s="6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>
      <c r="A31" s="45" t="s">
        <v>68</v>
      </c>
      <c r="B31" s="100"/>
      <c r="C31" s="101"/>
      <c r="D31" s="1"/>
      <c r="E31" s="12" t="s">
        <v>63</v>
      </c>
      <c r="F31" s="18">
        <f>$A$2-($A$2/(1+15%))</f>
        <v>60652.173913043458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>
      <c r="B32" s="1"/>
      <c r="C32" s="1"/>
      <c r="D32" s="1"/>
      <c r="E32" s="43" t="s">
        <v>64</v>
      </c>
      <c r="F32" s="46">
        <f>F31/H6</f>
        <v>0.15435086248199537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6" ht="12.75">
      <c r="A33" s="1"/>
      <c r="B33" s="102"/>
      <c r="C33" s="101"/>
      <c r="D33" s="1"/>
      <c r="E33" s="41"/>
      <c r="F33" s="4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6" ht="12.75">
      <c r="A34" s="1"/>
      <c r="B34" s="1"/>
      <c r="C34" s="1"/>
      <c r="D34" s="2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</sheetData>
  <mergeCells count="35">
    <mergeCell ref="A30:C30"/>
    <mergeCell ref="E30:F30"/>
    <mergeCell ref="B31:C31"/>
    <mergeCell ref="B33:C33"/>
    <mergeCell ref="B22:C22"/>
    <mergeCell ref="A23:C23"/>
    <mergeCell ref="A24:C24"/>
    <mergeCell ref="B27:C27"/>
    <mergeCell ref="B28:C28"/>
    <mergeCell ref="A29:C29"/>
    <mergeCell ref="B18:C18"/>
    <mergeCell ref="B19:C19"/>
    <mergeCell ref="B20:C20"/>
    <mergeCell ref="H20:J20"/>
    <mergeCell ref="B21:C21"/>
    <mergeCell ref="H21:J21"/>
    <mergeCell ref="B17:C17"/>
    <mergeCell ref="A4:C4"/>
    <mergeCell ref="H4:J4"/>
    <mergeCell ref="H5:J5"/>
    <mergeCell ref="H6:J6"/>
    <mergeCell ref="H8:J8"/>
    <mergeCell ref="H13:I13"/>
    <mergeCell ref="A14:C14"/>
    <mergeCell ref="B15:C15"/>
    <mergeCell ref="H15:I15"/>
    <mergeCell ref="B16:C16"/>
    <mergeCell ref="H16:I16"/>
    <mergeCell ref="A3:C3"/>
    <mergeCell ref="H3:J3"/>
    <mergeCell ref="A1:C1"/>
    <mergeCell ref="E1:F1"/>
    <mergeCell ref="H1:J1"/>
    <mergeCell ref="A2:C2"/>
    <mergeCell ref="H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דוח עסקת פליפ - עם מינוף</vt:lpstr>
      <vt:lpstr>4850 Erin Ln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אליאור כרמלי</cp:lastModifiedBy>
  <dcterms:modified xsi:type="dcterms:W3CDTF">2023-10-30T07:35:44Z</dcterms:modified>
</cp:coreProperties>
</file>